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165" windowWidth="18075" windowHeight="15600" tabRatio="500" activeTab="0"/>
  </bookViews>
  <sheets>
    <sheet name="Assumptions" sheetId="1" r:id="rId1"/>
    <sheet name="Feasibility Analysis" sheetId="2" r:id="rId2"/>
  </sheets>
  <definedNames>
    <definedName name="affordablepercent">'Feasibility Analysis'!$N$61</definedName>
    <definedName name="annualexpenses">'Feasibility Analysis'!$D$27</definedName>
    <definedName name="debtservice">'Feasibility Analysis'!$M$47</definedName>
    <definedName name="_xlnm.Print_Area" localSheetId="0">'Assumptions'!$A$1:$G$50</definedName>
    <definedName name="_xlnm.Print_Area" localSheetId="1">'Feasibility Analysis'!$A$1:$I$66</definedName>
    <definedName name="taxcredit">'Feasibility Analysis'!$N$52</definedName>
    <definedName name="units">'Feasibility Analysis'!$G$20</definedName>
  </definedNames>
  <calcPr fullCalcOnLoad="1"/>
</workbook>
</file>

<file path=xl/sharedStrings.xml><?xml version="1.0" encoding="utf-8"?>
<sst xmlns="http://schemas.openxmlformats.org/spreadsheetml/2006/main" count="154" uniqueCount="120">
  <si>
    <t>Size of site (sq ft)</t>
  </si>
  <si>
    <t>Design + construction contingency</t>
  </si>
  <si>
    <t>Development Sources</t>
  </si>
  <si>
    <t>First mortgage financing</t>
  </si>
  <si>
    <t>Total Uses</t>
  </si>
  <si>
    <t>NOI:</t>
  </si>
  <si>
    <t>Total Sources</t>
  </si>
  <si>
    <t>Sources over/(under) uses</t>
  </si>
  <si>
    <t>Included in rent:</t>
  </si>
  <si>
    <t>Heat</t>
  </si>
  <si>
    <t>Cooking fuel</t>
  </si>
  <si>
    <t>Water</t>
  </si>
  <si>
    <t>Electricity</t>
  </si>
  <si>
    <t xml:space="preserve"> </t>
  </si>
  <si>
    <t>Total</t>
  </si>
  <si>
    <t>Operating expense adjustment for utilities:</t>
  </si>
  <si>
    <t>Capitalized Reserves</t>
  </si>
  <si>
    <t>1BR</t>
  </si>
  <si>
    <t>2BR</t>
  </si>
  <si>
    <t>3BR</t>
  </si>
  <si>
    <t>FMR</t>
  </si>
  <si>
    <t>50% AMI</t>
  </si>
  <si>
    <t>30% AMI</t>
  </si>
  <si>
    <t>Unit Mix:</t>
  </si>
  <si>
    <t>30% AMI</t>
  </si>
  <si>
    <t xml:space="preserve"> </t>
  </si>
  <si>
    <t>Operating Expenses + Reserves:</t>
  </si>
  <si>
    <t>Utilities (small multifamily)</t>
  </si>
  <si>
    <t>Heat</t>
  </si>
  <si>
    <t>Cooking</t>
  </si>
  <si>
    <t>Water</t>
  </si>
  <si>
    <t>Electricity</t>
  </si>
  <si>
    <t>3BR</t>
  </si>
  <si>
    <t>Vacancy:</t>
  </si>
  <si>
    <t>Gross Effective Income:</t>
  </si>
  <si>
    <t>Gross Potential Income:</t>
  </si>
  <si>
    <t xml:space="preserve"> </t>
  </si>
  <si>
    <t>130% basis boost</t>
  </si>
  <si>
    <t>Interest</t>
  </si>
  <si>
    <t>Amortization</t>
  </si>
  <si>
    <t>Tax credits</t>
  </si>
  <si>
    <t>max credits per unit</t>
  </si>
  <si>
    <t>Market</t>
  </si>
  <si>
    <t>Market</t>
  </si>
  <si>
    <t xml:space="preserve"> </t>
  </si>
  <si>
    <t>percentage low income</t>
  </si>
  <si>
    <t>price per LIHTC dollar</t>
  </si>
  <si>
    <t>Basis:</t>
  </si>
  <si>
    <t>Acquisition</t>
  </si>
  <si>
    <t>Construction</t>
  </si>
  <si>
    <t>Soft costs</t>
  </si>
  <si>
    <t>Fee</t>
  </si>
  <si>
    <t>Total credits</t>
  </si>
  <si>
    <t>per basis</t>
  </si>
  <si>
    <t>per LIHTC max</t>
  </si>
  <si>
    <t>Maximum fee</t>
  </si>
  <si>
    <t>Non-acquisition basis for fee:</t>
  </si>
  <si>
    <t>City funds (HOME, CDBG)</t>
  </si>
  <si>
    <t>State HOME/HSF</t>
  </si>
  <si>
    <t>MA Affordable Housing Trust</t>
  </si>
  <si>
    <t>Other:</t>
  </si>
  <si>
    <t>Other:</t>
  </si>
  <si>
    <t>Other:</t>
  </si>
  <si>
    <t>FHLB</t>
  </si>
  <si>
    <t xml:space="preserve"> </t>
  </si>
  <si>
    <t>Template prepared by VIVA Consulting</t>
  </si>
  <si>
    <t>Cost per square foot</t>
  </si>
  <si>
    <t>Instructions:  Fill in the white boxes</t>
  </si>
  <si>
    <t>Rehab costs per unit</t>
  </si>
  <si>
    <t>Acquisition cost:</t>
  </si>
  <si>
    <t>Construction cost:</t>
  </si>
  <si>
    <t>New con</t>
  </si>
  <si>
    <t>Rehab</t>
  </si>
  <si>
    <t xml:space="preserve"> </t>
  </si>
  <si>
    <t>Operating cost:</t>
  </si>
  <si>
    <t>Current per unit operating costs</t>
  </si>
  <si>
    <t>Estimated years before lease-up</t>
  </si>
  <si>
    <t>Current costs inflated at 3%</t>
  </si>
  <si>
    <t>Replacement reserves per unit</t>
  </si>
  <si>
    <t>Rents (including all utilities):</t>
  </si>
  <si>
    <r>
      <t xml:space="preserve">For properties of this type in this area, </t>
    </r>
    <r>
      <rPr>
        <i/>
        <sz val="10"/>
        <rFont val="Verdana"/>
        <family val="0"/>
      </rPr>
      <t>including utilities</t>
    </r>
  </si>
  <si>
    <t>Development name:</t>
  </si>
  <si>
    <t>60% AMI</t>
  </si>
  <si>
    <t>4BR</t>
  </si>
  <si>
    <t>4BR</t>
  </si>
  <si>
    <t>Efficiency/Studio</t>
  </si>
  <si>
    <t>Efficiency/Studio</t>
  </si>
  <si>
    <t>1BR</t>
  </si>
  <si>
    <t>2BR</t>
  </si>
  <si>
    <t>3BR</t>
  </si>
  <si>
    <t>FMR</t>
  </si>
  <si>
    <t>60% AMI</t>
  </si>
  <si>
    <t>50% AMI</t>
  </si>
  <si>
    <t>Total annual expense deduction:</t>
  </si>
  <si>
    <t>Totals:</t>
  </si>
  <si>
    <t>Soft costs</t>
  </si>
  <si>
    <t>One half of one year's operating expenses plus debt service</t>
  </si>
  <si>
    <t>Coverage</t>
  </si>
  <si>
    <t>Feasibility Model</t>
  </si>
  <si>
    <t>per unit cost</t>
  </si>
  <si>
    <t>Acquisition</t>
  </si>
  <si>
    <t xml:space="preserve"> </t>
  </si>
  <si>
    <t xml:space="preserve">  </t>
  </si>
  <si>
    <t>Construction hard costs</t>
  </si>
  <si>
    <t>Overhead and Fee</t>
  </si>
  <si>
    <t>Operations</t>
  </si>
  <si>
    <t>Development Uses</t>
  </si>
  <si>
    <t xml:space="preserve"> </t>
  </si>
  <si>
    <t>Multifamily Housing</t>
  </si>
  <si>
    <t xml:space="preserve"> </t>
  </si>
  <si>
    <t xml:space="preserve"> </t>
  </si>
  <si>
    <t>Square feet of construction</t>
  </si>
  <si>
    <t>DHCD maximum</t>
  </si>
  <si>
    <t xml:space="preserve"> </t>
  </si>
  <si>
    <t>Calculate costs by sq ft x costs per sq ft:</t>
  </si>
  <si>
    <t>OR</t>
  </si>
  <si>
    <t>Calculate costs by rehab per unit:</t>
  </si>
  <si>
    <t>Site costs per square foot</t>
  </si>
  <si>
    <r>
      <t xml:space="preserve">Please Note | </t>
    </r>
    <r>
      <rPr>
        <sz val="9"/>
        <rFont val="Calibri"/>
        <family val="2"/>
      </rPr>
      <t>Effort has been made by the author and sponsoring organizations to provide current and accurate information.  However, readers should not rely on the information and are urged to review source material and consult with appropriate funding sources, practitioners and legal counsel before embarking on a particular course of action.</t>
    </r>
  </si>
  <si>
    <t>Rental Housing Feasibility Analysis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</si>
</sst>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s>
  <fonts count="46">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sz val="10"/>
      <name val="Geneva"/>
      <family val="0"/>
    </font>
    <font>
      <b/>
      <sz val="12"/>
      <name val="Verdana"/>
      <family val="0"/>
    </font>
    <font>
      <b/>
      <sz val="9"/>
      <name val="Calibri"/>
      <family val="2"/>
    </font>
    <font>
      <sz val="9"/>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51"/>
        <bgColor indexed="64"/>
      </patternFill>
    </fill>
    <fill>
      <patternFill patternType="solid">
        <fgColor rgb="FFFFFF66"/>
        <bgColor indexed="64"/>
      </patternFill>
    </fill>
    <fill>
      <patternFill patternType="solid">
        <fgColor rgb="FFCC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0">
    <xf numFmtId="0" fontId="0" fillId="0" borderId="0" xfId="0" applyAlignment="1">
      <alignment/>
    </xf>
    <xf numFmtId="0" fontId="1" fillId="33" borderId="0" xfId="0" applyFont="1" applyFill="1" applyAlignment="1">
      <alignment/>
    </xf>
    <xf numFmtId="165" fontId="0" fillId="33" borderId="0" xfId="42" applyNumberFormat="1" applyFont="1" applyFill="1" applyAlignment="1">
      <alignment/>
    </xf>
    <xf numFmtId="0" fontId="0" fillId="33" borderId="0" xfId="0" applyFill="1" applyAlignment="1">
      <alignment/>
    </xf>
    <xf numFmtId="165" fontId="0" fillId="33" borderId="0" xfId="42" applyNumberFormat="1" applyFont="1" applyFill="1" applyAlignment="1">
      <alignment horizontal="center"/>
    </xf>
    <xf numFmtId="0" fontId="0" fillId="33" borderId="0" xfId="0" applyFill="1" applyAlignment="1">
      <alignment horizontal="center"/>
    </xf>
    <xf numFmtId="0" fontId="0" fillId="33" borderId="0" xfId="0" applyFill="1" applyBorder="1" applyAlignment="1">
      <alignment/>
    </xf>
    <xf numFmtId="0" fontId="2" fillId="33" borderId="0" xfId="0" applyFont="1" applyFill="1" applyAlignment="1">
      <alignment/>
    </xf>
    <xf numFmtId="165" fontId="2" fillId="33" borderId="0" xfId="42" applyNumberFormat="1" applyFont="1" applyFill="1" applyAlignment="1">
      <alignment/>
    </xf>
    <xf numFmtId="165" fontId="0" fillId="34" borderId="10" xfId="42" applyNumberFormat="1" applyFont="1" applyFill="1" applyBorder="1" applyAlignment="1" applyProtection="1">
      <alignment/>
      <protection locked="0"/>
    </xf>
    <xf numFmtId="165" fontId="0" fillId="34" borderId="10" xfId="42" applyNumberFormat="1" applyFont="1" applyFill="1" applyBorder="1" applyAlignment="1" applyProtection="1">
      <alignment horizontal="center"/>
      <protection locked="0"/>
    </xf>
    <xf numFmtId="165" fontId="0" fillId="34" borderId="10" xfId="42" applyNumberFormat="1" applyFont="1" applyFill="1" applyBorder="1" applyAlignment="1" applyProtection="1">
      <alignment horizontal="right"/>
      <protection locked="0"/>
    </xf>
    <xf numFmtId="0" fontId="0" fillId="34" borderId="10" xfId="0" applyFill="1" applyBorder="1" applyAlignment="1" applyProtection="1">
      <alignment/>
      <protection locked="0"/>
    </xf>
    <xf numFmtId="9" fontId="0" fillId="34" borderId="10" xfId="59" applyFont="1" applyFill="1" applyBorder="1" applyAlignment="1" applyProtection="1">
      <alignment/>
      <protection locked="0"/>
    </xf>
    <xf numFmtId="0" fontId="0" fillId="33" borderId="0" xfId="0" applyFill="1" applyAlignment="1" applyProtection="1">
      <alignment/>
      <protection locked="0"/>
    </xf>
    <xf numFmtId="165" fontId="0" fillId="34" borderId="11" xfId="42" applyNumberFormat="1" applyFont="1" applyFill="1" applyBorder="1" applyAlignment="1" applyProtection="1">
      <alignment/>
      <protection locked="0"/>
    </xf>
    <xf numFmtId="165" fontId="0" fillId="34" borderId="12" xfId="42" applyNumberFormat="1" applyFont="1" applyFill="1" applyBorder="1" applyAlignment="1" applyProtection="1">
      <alignment/>
      <protection locked="0"/>
    </xf>
    <xf numFmtId="0" fontId="1" fillId="35" borderId="0" xfId="0" applyFont="1" applyFill="1" applyAlignment="1">
      <alignment/>
    </xf>
    <xf numFmtId="0" fontId="0" fillId="35" borderId="0" xfId="0" applyFill="1" applyAlignment="1">
      <alignment/>
    </xf>
    <xf numFmtId="0" fontId="0" fillId="35" borderId="0" xfId="0" applyFill="1" applyAlignment="1" applyProtection="1">
      <alignment/>
      <protection locked="0"/>
    </xf>
    <xf numFmtId="0" fontId="8" fillId="35" borderId="0" xfId="0" applyFont="1" applyFill="1" applyAlignment="1">
      <alignment/>
    </xf>
    <xf numFmtId="0" fontId="1" fillId="35" borderId="0" xfId="0" applyFont="1" applyFill="1" applyAlignment="1">
      <alignment horizontal="center"/>
    </xf>
    <xf numFmtId="9" fontId="1" fillId="35" borderId="0" xfId="0" applyNumberFormat="1" applyFont="1" applyFill="1" applyAlignment="1">
      <alignment horizontal="center"/>
    </xf>
    <xf numFmtId="0" fontId="0" fillId="35" borderId="0" xfId="0" applyFill="1" applyAlignment="1">
      <alignment horizontal="center"/>
    </xf>
    <xf numFmtId="165" fontId="0" fillId="35" borderId="0" xfId="0" applyNumberFormat="1" applyFill="1" applyAlignment="1">
      <alignment/>
    </xf>
    <xf numFmtId="0" fontId="0" fillId="35" borderId="0" xfId="0" applyFill="1" applyBorder="1" applyAlignment="1">
      <alignment/>
    </xf>
    <xf numFmtId="165" fontId="0" fillId="35" borderId="0" xfId="42" applyNumberFormat="1" applyFont="1" applyFill="1" applyAlignment="1">
      <alignment/>
    </xf>
    <xf numFmtId="165" fontId="1" fillId="35" borderId="13" xfId="42" applyNumberFormat="1" applyFont="1" applyFill="1" applyBorder="1" applyAlignment="1">
      <alignment/>
    </xf>
    <xf numFmtId="165" fontId="0" fillId="35" borderId="0" xfId="42" applyNumberFormat="1" applyFont="1" applyFill="1" applyAlignment="1" applyProtection="1">
      <alignment/>
      <protection locked="0"/>
    </xf>
    <xf numFmtId="9" fontId="0" fillId="35" borderId="0" xfId="59" applyFont="1" applyFill="1" applyAlignment="1">
      <alignment/>
    </xf>
    <xf numFmtId="166" fontId="0" fillId="35" borderId="0" xfId="59" applyNumberFormat="1" applyFont="1" applyFill="1" applyAlignment="1">
      <alignment/>
    </xf>
    <xf numFmtId="165" fontId="0" fillId="35" borderId="0" xfId="0" applyNumberFormat="1" applyFill="1" applyAlignment="1" applyProtection="1">
      <alignment/>
      <protection locked="0"/>
    </xf>
    <xf numFmtId="165" fontId="1" fillId="35" borderId="0" xfId="42" applyNumberFormat="1" applyFont="1" applyFill="1" applyAlignment="1">
      <alignment/>
    </xf>
    <xf numFmtId="165" fontId="0" fillId="35" borderId="0" xfId="42" applyNumberFormat="1" applyFont="1" applyFill="1" applyAlignment="1">
      <alignment horizontal="right"/>
    </xf>
    <xf numFmtId="0" fontId="0" fillId="35" borderId="0" xfId="0" applyFill="1" applyAlignment="1" applyProtection="1">
      <alignment horizontal="right"/>
      <protection locked="0"/>
    </xf>
    <xf numFmtId="165" fontId="1" fillId="35" borderId="13" xfId="0" applyNumberFormat="1" applyFont="1" applyFill="1" applyBorder="1" applyAlignment="1">
      <alignment/>
    </xf>
    <xf numFmtId="9" fontId="0" fillId="35" borderId="0" xfId="59" applyFont="1" applyFill="1" applyAlignment="1" applyProtection="1">
      <alignment/>
      <protection locked="0"/>
    </xf>
    <xf numFmtId="165" fontId="0" fillId="34" borderId="10" xfId="0" applyNumberFormat="1" applyFill="1" applyBorder="1" applyAlignment="1" applyProtection="1">
      <alignment/>
      <protection locked="0"/>
    </xf>
    <xf numFmtId="43" fontId="0" fillId="34" borderId="10" xfId="42" applyFont="1" applyFill="1" applyBorder="1" applyAlignment="1" applyProtection="1">
      <alignment/>
      <protection locked="0"/>
    </xf>
    <xf numFmtId="10" fontId="0" fillId="34" borderId="10" xfId="59" applyNumberFormat="1" applyFont="1" applyFill="1" applyBorder="1" applyAlignment="1" applyProtection="1">
      <alignment/>
      <protection locked="0"/>
    </xf>
    <xf numFmtId="165" fontId="0" fillId="33" borderId="0" xfId="42" applyNumberFormat="1" applyFont="1" applyFill="1" applyBorder="1" applyAlignment="1" applyProtection="1">
      <alignment/>
      <protection locked="0"/>
    </xf>
    <xf numFmtId="0" fontId="1" fillId="33" borderId="0" xfId="0" applyFont="1" applyFill="1" applyBorder="1" applyAlignment="1">
      <alignment/>
    </xf>
    <xf numFmtId="0" fontId="2" fillId="33" borderId="0" xfId="0" applyFont="1" applyFill="1" applyBorder="1" applyAlignment="1">
      <alignment horizontal="right"/>
    </xf>
    <xf numFmtId="0" fontId="1" fillId="33" borderId="0" xfId="0" applyFont="1" applyFill="1" applyBorder="1" applyAlignment="1">
      <alignment horizontal="center"/>
    </xf>
    <xf numFmtId="0" fontId="2" fillId="36" borderId="14" xfId="0" applyFont="1" applyFill="1" applyBorder="1" applyAlignment="1">
      <alignment/>
    </xf>
    <xf numFmtId="165" fontId="0" fillId="36" borderId="15" xfId="42" applyNumberFormat="1" applyFont="1" applyFill="1" applyBorder="1" applyAlignment="1">
      <alignment/>
    </xf>
    <xf numFmtId="0" fontId="0" fillId="36" borderId="16" xfId="0" applyFill="1" applyBorder="1" applyAlignment="1">
      <alignment/>
    </xf>
    <xf numFmtId="165" fontId="0" fillId="36" borderId="17" xfId="42" applyNumberFormat="1" applyFont="1" applyFill="1" applyBorder="1" applyAlignment="1">
      <alignment/>
    </xf>
    <xf numFmtId="0" fontId="2" fillId="36" borderId="16" xfId="0" applyFont="1" applyFill="1" applyBorder="1" applyAlignment="1">
      <alignment/>
    </xf>
    <xf numFmtId="9" fontId="0" fillId="36" borderId="17" xfId="59" applyFont="1" applyFill="1" applyBorder="1" applyAlignment="1">
      <alignment/>
    </xf>
    <xf numFmtId="0" fontId="0" fillId="36" borderId="18" xfId="0" applyFill="1" applyBorder="1" applyAlignment="1">
      <alignment/>
    </xf>
    <xf numFmtId="0" fontId="0" fillId="36" borderId="19" xfId="0" applyFill="1" applyBorder="1" applyAlignment="1">
      <alignment/>
    </xf>
    <xf numFmtId="0" fontId="0" fillId="36" borderId="15" xfId="0" applyFill="1" applyBorder="1" applyAlignment="1">
      <alignment/>
    </xf>
    <xf numFmtId="0" fontId="0" fillId="36" borderId="0" xfId="0" applyFill="1" applyBorder="1" applyAlignment="1">
      <alignment/>
    </xf>
    <xf numFmtId="0" fontId="0" fillId="36" borderId="17" xfId="0" applyFill="1" applyBorder="1" applyAlignment="1">
      <alignment/>
    </xf>
    <xf numFmtId="0" fontId="2" fillId="36" borderId="16" xfId="0" applyFont="1" applyFill="1" applyBorder="1" applyAlignment="1">
      <alignment horizontal="right"/>
    </xf>
    <xf numFmtId="0" fontId="2" fillId="36" borderId="0" xfId="0" applyFont="1" applyFill="1" applyBorder="1" applyAlignment="1">
      <alignment horizontal="right"/>
    </xf>
    <xf numFmtId="0" fontId="0" fillId="36" borderId="20" xfId="0" applyFill="1" applyBorder="1" applyAlignment="1">
      <alignment/>
    </xf>
    <xf numFmtId="0" fontId="0" fillId="36" borderId="21" xfId="0" applyFill="1" applyBorder="1" applyAlignment="1">
      <alignment/>
    </xf>
    <xf numFmtId="0" fontId="0" fillId="0" borderId="0" xfId="0" applyFill="1" applyAlignment="1">
      <alignment/>
    </xf>
    <xf numFmtId="165" fontId="0" fillId="0" borderId="0" xfId="42" applyNumberFormat="1" applyFont="1" applyFill="1" applyAlignment="1">
      <alignment/>
    </xf>
    <xf numFmtId="0" fontId="1" fillId="37" borderId="0" xfId="0" applyFont="1" applyFill="1" applyAlignment="1">
      <alignment/>
    </xf>
    <xf numFmtId="165" fontId="0" fillId="37" borderId="0" xfId="42" applyNumberFormat="1" applyFont="1" applyFill="1" applyAlignment="1">
      <alignment/>
    </xf>
    <xf numFmtId="0" fontId="0" fillId="37" borderId="0" xfId="0" applyFill="1" applyAlignment="1">
      <alignment/>
    </xf>
    <xf numFmtId="0" fontId="28" fillId="0" borderId="20" xfId="0" applyFont="1" applyFill="1" applyBorder="1" applyAlignment="1">
      <alignment/>
    </xf>
    <xf numFmtId="0" fontId="28" fillId="35" borderId="0" xfId="0" applyFont="1" applyFill="1" applyAlignment="1">
      <alignment/>
    </xf>
    <xf numFmtId="0" fontId="28" fillId="35" borderId="0" xfId="0" applyFont="1" applyFill="1" applyAlignment="1" applyProtection="1">
      <alignment/>
      <protection locked="0"/>
    </xf>
    <xf numFmtId="0" fontId="2" fillId="33" borderId="0" xfId="0" applyFont="1" applyFill="1" applyAlignment="1">
      <alignment horizontal="right"/>
    </xf>
    <xf numFmtId="0" fontId="0" fillId="36" borderId="16" xfId="0" applyFill="1" applyBorder="1" applyAlignment="1">
      <alignment horizontal="left"/>
    </xf>
    <xf numFmtId="0" fontId="0" fillId="36" borderId="0" xfId="0" applyFill="1" applyBorder="1" applyAlignment="1">
      <alignment horizontal="left"/>
    </xf>
    <xf numFmtId="0" fontId="9" fillId="37" borderId="0" xfId="0" applyFont="1" applyFill="1" applyAlignment="1">
      <alignment vertical="top" wrapText="1"/>
    </xf>
    <xf numFmtId="0" fontId="0" fillId="37" borderId="0" xfId="0" applyFill="1" applyAlignment="1">
      <alignment vertical="top" wrapText="1"/>
    </xf>
    <xf numFmtId="0" fontId="0" fillId="34" borderId="10" xfId="0" applyFill="1" applyBorder="1" applyAlignment="1" applyProtection="1">
      <alignment horizontal="center"/>
      <protection locked="0"/>
    </xf>
    <xf numFmtId="0" fontId="0" fillId="34" borderId="22" xfId="0" applyFill="1" applyBorder="1" applyAlignment="1" applyProtection="1">
      <alignment horizontal="center"/>
      <protection locked="0"/>
    </xf>
    <xf numFmtId="0" fontId="2" fillId="35" borderId="0" xfId="0" applyFont="1" applyFill="1" applyAlignment="1">
      <alignment horizontal="right"/>
    </xf>
    <xf numFmtId="0" fontId="9" fillId="38" borderId="0" xfId="0" applyFont="1" applyFill="1" applyAlignment="1">
      <alignment vertical="top" wrapText="1"/>
    </xf>
    <xf numFmtId="0" fontId="0" fillId="38" borderId="0" xfId="0" applyFill="1" applyAlignment="1">
      <alignment vertical="top" wrapText="1"/>
    </xf>
    <xf numFmtId="0" fontId="1" fillId="34" borderId="22" xfId="0" applyFont="1" applyFill="1" applyBorder="1" applyAlignment="1" applyProtection="1">
      <alignment horizontal="center"/>
      <protection locked="0"/>
    </xf>
    <xf numFmtId="0" fontId="1" fillId="34" borderId="23" xfId="0" applyFont="1" applyFill="1" applyBorder="1" applyAlignment="1" applyProtection="1">
      <alignment horizontal="center"/>
      <protection locked="0"/>
    </xf>
    <xf numFmtId="0" fontId="1" fillId="34" borderId="24"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55"/>
      </font>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295275</xdr:colOff>
      <xdr:row>0</xdr:row>
      <xdr:rowOff>0</xdr:rowOff>
    </xdr:from>
    <xdr:to>
      <xdr:col>7</xdr:col>
      <xdr:colOff>28575</xdr:colOff>
      <xdr:row>2</xdr:row>
      <xdr:rowOff>104775</xdr:rowOff>
    </xdr:to>
    <xdr:pic>
      <xdr:nvPicPr>
        <xdr:cNvPr id="1" name="Picture 1"/>
        <xdr:cNvPicPr preferRelativeResize="1">
          <a:picLocks noChangeAspect="1"/>
        </xdr:cNvPicPr>
      </xdr:nvPicPr>
      <xdr:blipFill>
        <a:blip r:embed="rId1"/>
        <a:stretch>
          <a:fillRect/>
        </a:stretch>
      </xdr:blipFill>
      <xdr:spPr>
        <a:xfrm>
          <a:off x="4819650" y="0"/>
          <a:ext cx="2438400"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0</xdr:rowOff>
    </xdr:from>
    <xdr:to>
      <xdr:col>7</xdr:col>
      <xdr:colOff>800100</xdr:colOff>
      <xdr:row>3</xdr:row>
      <xdr:rowOff>104775</xdr:rowOff>
    </xdr:to>
    <xdr:pic>
      <xdr:nvPicPr>
        <xdr:cNvPr id="1" name="Picture 1"/>
        <xdr:cNvPicPr preferRelativeResize="1">
          <a:picLocks noChangeAspect="1"/>
        </xdr:cNvPicPr>
      </xdr:nvPicPr>
      <xdr:blipFill>
        <a:blip r:embed="rId1"/>
        <a:stretch>
          <a:fillRect/>
        </a:stretch>
      </xdr:blipFill>
      <xdr:spPr>
        <a:xfrm>
          <a:off x="4991100" y="161925"/>
          <a:ext cx="24384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50"/>
  <sheetViews>
    <sheetView tabSelected="1" zoomScalePageLayoutView="0" workbookViewId="0" topLeftCell="A1">
      <selection activeCell="H7" sqref="H7"/>
    </sheetView>
  </sheetViews>
  <sheetFormatPr defaultColWidth="10.75390625" defaultRowHeight="12.75"/>
  <cols>
    <col min="1" max="1" width="27.125" style="3" customWidth="1"/>
    <col min="2" max="2" width="10.75390625" style="2" customWidth="1"/>
    <col min="3" max="4" width="10.75390625" style="3" customWidth="1"/>
    <col min="5" max="5" width="11.875" style="3" customWidth="1"/>
    <col min="6" max="6" width="12.875" style="3" customWidth="1"/>
    <col min="7" max="14" width="10.75390625" style="3" customWidth="1"/>
    <col min="15" max="18" width="10.75390625" style="14" customWidth="1"/>
    <col min="19" max="16384" width="10.75390625" style="3" customWidth="1"/>
  </cols>
  <sheetData>
    <row r="1" spans="1:7" ht="12.75">
      <c r="A1" s="59"/>
      <c r="B1" s="60"/>
      <c r="C1" s="59"/>
      <c r="D1" s="59"/>
      <c r="E1" s="59"/>
      <c r="F1" s="59"/>
      <c r="G1" s="59"/>
    </row>
    <row r="2" spans="1:7" ht="12.75">
      <c r="A2" s="59"/>
      <c r="B2" s="60"/>
      <c r="C2" s="59"/>
      <c r="D2" s="59"/>
      <c r="E2" s="59"/>
      <c r="F2" s="59"/>
      <c r="G2" s="59"/>
    </row>
    <row r="3" spans="1:7" ht="12.75">
      <c r="A3" s="61" t="s">
        <v>108</v>
      </c>
      <c r="B3" s="62"/>
      <c r="C3" s="63"/>
      <c r="D3" s="63"/>
      <c r="E3" s="63"/>
      <c r="F3" s="63"/>
      <c r="G3" s="63"/>
    </row>
    <row r="4" ht="12.75">
      <c r="A4" s="1" t="s">
        <v>98</v>
      </c>
    </row>
    <row r="6" spans="1:2" ht="12.75">
      <c r="A6" s="7" t="s">
        <v>67</v>
      </c>
      <c r="B6" s="8"/>
    </row>
    <row r="8" spans="1:2" ht="12.75">
      <c r="A8" s="1" t="s">
        <v>69</v>
      </c>
      <c r="B8" s="9">
        <v>4200000</v>
      </c>
    </row>
    <row r="10" spans="1:3" ht="12.75">
      <c r="A10" s="1" t="s">
        <v>70</v>
      </c>
      <c r="B10" s="3"/>
      <c r="C10" s="3" t="s">
        <v>109</v>
      </c>
    </row>
    <row r="11" spans="1:6" ht="19.5" customHeight="1">
      <c r="A11" s="44" t="s">
        <v>114</v>
      </c>
      <c r="B11" s="45"/>
      <c r="C11" s="6"/>
      <c r="D11" s="44" t="s">
        <v>116</v>
      </c>
      <c r="E11" s="51"/>
      <c r="F11" s="52"/>
    </row>
    <row r="12" spans="1:6" ht="12.75">
      <c r="A12" s="46"/>
      <c r="B12" s="47"/>
      <c r="C12" s="43" t="s">
        <v>115</v>
      </c>
      <c r="D12" s="46"/>
      <c r="E12" s="53"/>
      <c r="F12" s="54"/>
    </row>
    <row r="13" spans="1:6" ht="12.75">
      <c r="A13" s="46"/>
      <c r="B13" s="47"/>
      <c r="C13" s="41" t="s">
        <v>113</v>
      </c>
      <c r="D13" s="46"/>
      <c r="E13" s="53"/>
      <c r="F13" s="54"/>
    </row>
    <row r="14" spans="1:6" ht="12.75">
      <c r="A14" s="48" t="s">
        <v>113</v>
      </c>
      <c r="B14" s="49"/>
      <c r="C14" s="42" t="s">
        <v>113</v>
      </c>
      <c r="D14" s="55"/>
      <c r="E14" s="56"/>
      <c r="F14" s="54"/>
    </row>
    <row r="15" spans="1:17" ht="12.75">
      <c r="A15" s="46" t="s">
        <v>111</v>
      </c>
      <c r="B15" s="9">
        <v>25000</v>
      </c>
      <c r="D15" s="68" t="s">
        <v>68</v>
      </c>
      <c r="E15" s="69"/>
      <c r="F15" s="9">
        <v>65000</v>
      </c>
      <c r="O15" s="14" t="s">
        <v>71</v>
      </c>
      <c r="P15" s="14" t="b">
        <v>0</v>
      </c>
      <c r="Q15" s="14">
        <f>IF(P15=TRUE,1,0)</f>
        <v>0</v>
      </c>
    </row>
    <row r="16" spans="1:17" ht="12.75">
      <c r="A16" s="46" t="s">
        <v>66</v>
      </c>
      <c r="B16" s="9">
        <v>200</v>
      </c>
      <c r="C16" s="6"/>
      <c r="D16" s="46"/>
      <c r="E16" s="53"/>
      <c r="F16" s="54"/>
      <c r="O16" s="14" t="s">
        <v>72</v>
      </c>
      <c r="P16" s="14" t="b">
        <v>1</v>
      </c>
      <c r="Q16" s="14">
        <f>IF(P16=TRUE,1,0)</f>
        <v>1</v>
      </c>
    </row>
    <row r="17" spans="1:6" ht="12.75">
      <c r="A17" s="46" t="s">
        <v>0</v>
      </c>
      <c r="B17" s="9">
        <v>40000</v>
      </c>
      <c r="C17" s="6"/>
      <c r="D17" s="46"/>
      <c r="E17" s="53"/>
      <c r="F17" s="54"/>
    </row>
    <row r="18" spans="1:6" ht="12.75">
      <c r="A18" s="50" t="s">
        <v>117</v>
      </c>
      <c r="B18" s="9">
        <v>15</v>
      </c>
      <c r="C18" s="6"/>
      <c r="D18" s="50"/>
      <c r="E18" s="57"/>
      <c r="F18" s="58"/>
    </row>
    <row r="19" spans="1:3" ht="12.75">
      <c r="A19" s="6"/>
      <c r="B19" s="40"/>
      <c r="C19" s="6"/>
    </row>
    <row r="20" spans="1:3" ht="12.75">
      <c r="A20" s="6"/>
      <c r="B20" s="40"/>
      <c r="C20" s="6"/>
    </row>
    <row r="21" spans="15:16" ht="12.75">
      <c r="O21" s="14" t="b">
        <v>1</v>
      </c>
      <c r="P21" s="14" t="s">
        <v>37</v>
      </c>
    </row>
    <row r="22" spans="1:15" ht="12.75">
      <c r="A22" s="1" t="s">
        <v>74</v>
      </c>
      <c r="C22" s="3" t="s">
        <v>36</v>
      </c>
      <c r="O22" s="14">
        <f>IF(O21=TRUE,1,0)</f>
        <v>1</v>
      </c>
    </row>
    <row r="23" ht="12.75">
      <c r="C23" s="3" t="s">
        <v>73</v>
      </c>
    </row>
    <row r="24" spans="1:3" ht="12.75">
      <c r="A24" s="3" t="s">
        <v>75</v>
      </c>
      <c r="B24" s="9">
        <v>7500</v>
      </c>
      <c r="C24" s="3" t="s">
        <v>80</v>
      </c>
    </row>
    <row r="25" spans="1:3" ht="12.75">
      <c r="A25" s="3" t="s">
        <v>76</v>
      </c>
      <c r="B25" s="9">
        <v>2</v>
      </c>
      <c r="C25" s="3" t="s">
        <v>77</v>
      </c>
    </row>
    <row r="26" spans="1:2" ht="12.75">
      <c r="A26" s="3" t="s">
        <v>25</v>
      </c>
      <c r="B26" s="2" t="s">
        <v>110</v>
      </c>
    </row>
    <row r="27" spans="1:2" ht="12.75">
      <c r="A27" s="3" t="s">
        <v>78</v>
      </c>
      <c r="B27" s="9">
        <v>350</v>
      </c>
    </row>
    <row r="28" ht="12.75">
      <c r="B28" s="3"/>
    </row>
    <row r="30" ht="12.75">
      <c r="A30" s="1" t="s">
        <v>79</v>
      </c>
    </row>
    <row r="31" spans="2:6" ht="12.75">
      <c r="B31" s="4" t="s">
        <v>20</v>
      </c>
      <c r="C31" s="5" t="s">
        <v>82</v>
      </c>
      <c r="D31" s="5" t="s">
        <v>21</v>
      </c>
      <c r="E31" s="5" t="s">
        <v>22</v>
      </c>
      <c r="F31" s="5" t="s">
        <v>43</v>
      </c>
    </row>
    <row r="32" spans="1:6" ht="12.75">
      <c r="A32" s="3" t="s">
        <v>86</v>
      </c>
      <c r="B32" s="10">
        <v>1080</v>
      </c>
      <c r="C32" s="11">
        <v>946</v>
      </c>
      <c r="D32" s="10">
        <f>(5/6)*C32</f>
        <v>788.3333333333334</v>
      </c>
      <c r="E32" s="10">
        <f>C32/2</f>
        <v>473</v>
      </c>
      <c r="F32" s="9">
        <v>1200</v>
      </c>
    </row>
    <row r="33" spans="1:6" ht="12.75">
      <c r="A33" s="3" t="s">
        <v>17</v>
      </c>
      <c r="B33" s="9">
        <v>1146</v>
      </c>
      <c r="C33" s="9">
        <f>D33*1.2</f>
        <v>1014.75</v>
      </c>
      <c r="D33" s="9">
        <f>(0.3*AVERAGE(31550,36100))/12</f>
        <v>845.625</v>
      </c>
      <c r="E33" s="9">
        <f>(0.3*AVERAGE(18950,21650))/12</f>
        <v>507.5</v>
      </c>
      <c r="F33" s="9">
        <v>1300</v>
      </c>
    </row>
    <row r="34" spans="1:6" ht="12.75">
      <c r="A34" s="3" t="s">
        <v>18</v>
      </c>
      <c r="B34" s="9">
        <v>1345</v>
      </c>
      <c r="C34" s="9">
        <f>D34*1.2</f>
        <v>1218</v>
      </c>
      <c r="D34" s="9">
        <f>(0.3*40600)/12</f>
        <v>1015</v>
      </c>
      <c r="E34" s="9">
        <f>(0.3*24350)/12</f>
        <v>608.75</v>
      </c>
      <c r="F34" s="9">
        <v>1450</v>
      </c>
    </row>
    <row r="35" spans="1:6" ht="12.75">
      <c r="A35" s="3" t="s">
        <v>19</v>
      </c>
      <c r="B35" s="9">
        <v>1609</v>
      </c>
      <c r="C35" s="9">
        <f>D35*1.2</f>
        <v>1407</v>
      </c>
      <c r="D35" s="9">
        <f>(0.3*AVERAGE(45100,48700))/12</f>
        <v>1172.5</v>
      </c>
      <c r="E35" s="9">
        <f>(0.3*AVERAGE(27050,29200))/12</f>
        <v>703.125</v>
      </c>
      <c r="F35" s="9">
        <v>1750</v>
      </c>
    </row>
    <row r="36" spans="1:6" ht="12.75">
      <c r="A36" s="3" t="s">
        <v>84</v>
      </c>
      <c r="B36" s="9">
        <v>1767</v>
      </c>
      <c r="C36" s="9">
        <v>1569</v>
      </c>
      <c r="D36" s="10">
        <f>(5/6)*C36</f>
        <v>1307.5</v>
      </c>
      <c r="E36" s="10">
        <f>C36/2</f>
        <v>784.5</v>
      </c>
      <c r="F36" s="9">
        <v>1900</v>
      </c>
    </row>
    <row r="38" spans="1:5" ht="12.75">
      <c r="A38" s="3" t="s">
        <v>27</v>
      </c>
      <c r="B38" s="2" t="s">
        <v>28</v>
      </c>
      <c r="C38" s="3" t="s">
        <v>29</v>
      </c>
      <c r="D38" s="3" t="s">
        <v>30</v>
      </c>
      <c r="E38" s="3" t="s">
        <v>31</v>
      </c>
    </row>
    <row r="39" spans="1:5" ht="12.75">
      <c r="A39" s="3" t="s">
        <v>86</v>
      </c>
      <c r="B39" s="9">
        <v>70</v>
      </c>
      <c r="C39" s="12">
        <v>11</v>
      </c>
      <c r="D39" s="12">
        <v>35</v>
      </c>
      <c r="E39" s="12">
        <v>12</v>
      </c>
    </row>
    <row r="40" spans="1:5" ht="12.75">
      <c r="A40" s="3" t="s">
        <v>17</v>
      </c>
      <c r="B40" s="9">
        <v>91</v>
      </c>
      <c r="C40" s="12">
        <v>14</v>
      </c>
      <c r="D40" s="12">
        <v>49</v>
      </c>
      <c r="E40" s="12">
        <v>19</v>
      </c>
    </row>
    <row r="41" spans="1:5" ht="12.75">
      <c r="A41" s="3" t="s">
        <v>18</v>
      </c>
      <c r="B41" s="9">
        <v>118</v>
      </c>
      <c r="C41" s="12">
        <v>19</v>
      </c>
      <c r="D41" s="12">
        <v>66</v>
      </c>
      <c r="E41" s="12">
        <v>26</v>
      </c>
    </row>
    <row r="42" spans="1:5" ht="12.75">
      <c r="A42" s="3" t="s">
        <v>32</v>
      </c>
      <c r="B42" s="9">
        <v>146</v>
      </c>
      <c r="C42" s="12">
        <v>23</v>
      </c>
      <c r="D42" s="12">
        <v>82</v>
      </c>
      <c r="E42" s="12">
        <v>31</v>
      </c>
    </row>
    <row r="43" spans="1:5" ht="12.75">
      <c r="A43" s="3" t="s">
        <v>84</v>
      </c>
      <c r="B43" s="9">
        <v>165</v>
      </c>
      <c r="C43" s="12">
        <v>30</v>
      </c>
      <c r="D43" s="12">
        <v>97</v>
      </c>
      <c r="E43" s="12">
        <v>39</v>
      </c>
    </row>
    <row r="45" spans="1:6" ht="12.75">
      <c r="A45" s="3" t="s">
        <v>33</v>
      </c>
      <c r="B45" s="13">
        <v>0.05</v>
      </c>
      <c r="D45" s="67" t="s">
        <v>65</v>
      </c>
      <c r="E45" s="67"/>
      <c r="F45" s="67"/>
    </row>
    <row r="47" spans="1:6" ht="12.75">
      <c r="A47" s="70" t="s">
        <v>118</v>
      </c>
      <c r="B47" s="71"/>
      <c r="C47" s="71"/>
      <c r="D47" s="71"/>
      <c r="E47" s="71"/>
      <c r="F47" s="71"/>
    </row>
    <row r="48" spans="1:6" ht="12.75">
      <c r="A48" s="71"/>
      <c r="B48" s="71"/>
      <c r="C48" s="71"/>
      <c r="D48" s="71"/>
      <c r="E48" s="71"/>
      <c r="F48" s="71"/>
    </row>
    <row r="49" spans="1:6" ht="12.75">
      <c r="A49" s="71"/>
      <c r="B49" s="71"/>
      <c r="C49" s="71"/>
      <c r="D49" s="71"/>
      <c r="E49" s="71"/>
      <c r="F49" s="71"/>
    </row>
    <row r="50" spans="1:6" ht="12.75">
      <c r="A50" s="71"/>
      <c r="B50" s="71"/>
      <c r="C50" s="71"/>
      <c r="D50" s="71"/>
      <c r="E50" s="71"/>
      <c r="F50" s="71"/>
    </row>
  </sheetData>
  <sheetProtection/>
  <mergeCells count="3">
    <mergeCell ref="D45:F45"/>
    <mergeCell ref="D15:E15"/>
    <mergeCell ref="A47:F50"/>
  </mergeCells>
  <conditionalFormatting sqref="A12:B20">
    <cfRule type="expression" priority="1" dxfId="1" stopIfTrue="1">
      <formula>"$Q$14=1"</formula>
    </cfRule>
  </conditionalFormatting>
  <printOptions/>
  <pageMargins left="0.75" right="0.75" top="1" bottom="1" header="0.5" footer="0.5"/>
  <pageSetup fitToHeight="1" fitToWidth="1" orientation="portrait" scale="83"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S70"/>
  <sheetViews>
    <sheetView zoomScalePageLayoutView="0" workbookViewId="0" topLeftCell="A1">
      <selection activeCell="F2" sqref="F2"/>
    </sheetView>
  </sheetViews>
  <sheetFormatPr defaultColWidth="10.75390625" defaultRowHeight="12.75"/>
  <cols>
    <col min="1" max="1" width="16.25390625" style="18" customWidth="1"/>
    <col min="2" max="2" width="13.00390625" style="18" customWidth="1"/>
    <col min="3" max="3" width="10.75390625" style="18" customWidth="1"/>
    <col min="4" max="4" width="12.875" style="18" customWidth="1"/>
    <col min="5" max="5" width="12.625" style="18" customWidth="1"/>
    <col min="6" max="7" width="10.75390625" style="18" customWidth="1"/>
    <col min="8" max="8" width="11.50390625" style="18" customWidth="1"/>
    <col min="9" max="9" width="10.75390625" style="18" customWidth="1"/>
    <col min="10" max="10" width="62.375" style="18" customWidth="1"/>
    <col min="11" max="12" width="10.75390625" style="18" customWidth="1"/>
    <col min="13" max="13" width="10.75390625" style="19" customWidth="1"/>
    <col min="14" max="14" width="15.625" style="19" customWidth="1"/>
    <col min="15" max="19" width="10.75390625" style="19" customWidth="1"/>
    <col min="20" max="16384" width="10.75390625" style="18" customWidth="1"/>
  </cols>
  <sheetData>
    <row r="1" spans="1:8" ht="12.75">
      <c r="A1" s="59"/>
      <c r="B1" s="59"/>
      <c r="C1" s="59"/>
      <c r="D1" s="59"/>
      <c r="E1" s="59"/>
      <c r="F1" s="59"/>
      <c r="G1" s="59"/>
      <c r="H1" s="59"/>
    </row>
    <row r="2" spans="1:8" ht="12.75">
      <c r="A2" s="59"/>
      <c r="B2" s="59"/>
      <c r="C2" s="59"/>
      <c r="D2" s="59"/>
      <c r="E2" s="59"/>
      <c r="F2" s="59"/>
      <c r="G2" s="59"/>
      <c r="H2" s="59"/>
    </row>
    <row r="3" spans="1:8" ht="12.75">
      <c r="A3" s="59"/>
      <c r="B3" s="59"/>
      <c r="C3" s="59"/>
      <c r="D3" s="59"/>
      <c r="E3" s="59"/>
      <c r="F3" s="59"/>
      <c r="G3" s="59"/>
      <c r="H3" s="59"/>
    </row>
    <row r="4" spans="1:19" s="65" customFormat="1" ht="23.25">
      <c r="A4" s="64" t="s">
        <v>119</v>
      </c>
      <c r="B4" s="64"/>
      <c r="C4" s="64"/>
      <c r="D4" s="64"/>
      <c r="E4" s="64"/>
      <c r="F4" s="64"/>
      <c r="G4" s="64"/>
      <c r="H4" s="64"/>
      <c r="M4" s="66"/>
      <c r="N4" s="66"/>
      <c r="O4" s="66"/>
      <c r="P4" s="66"/>
      <c r="Q4" s="66"/>
      <c r="R4" s="66"/>
      <c r="S4" s="66"/>
    </row>
    <row r="5" spans="1:8" ht="12.75">
      <c r="A5" s="59"/>
      <c r="B5" s="59"/>
      <c r="C5" s="59"/>
      <c r="D5" s="59"/>
      <c r="E5" s="59"/>
      <c r="F5" s="59"/>
      <c r="G5" s="59"/>
      <c r="H5" s="59"/>
    </row>
    <row r="6" ht="12.75">
      <c r="A6" s="17" t="str">
        <f>Assumptions!A3</f>
        <v>Multifamily Housing</v>
      </c>
    </row>
    <row r="7" ht="12.75">
      <c r="A7" s="17" t="str">
        <f>Assumptions!A4</f>
        <v>Feasibility Model</v>
      </c>
    </row>
    <row r="9" spans="1:6" ht="12.75">
      <c r="A9" s="17" t="s">
        <v>81</v>
      </c>
      <c r="C9" s="77" t="s">
        <v>36</v>
      </c>
      <c r="D9" s="78"/>
      <c r="E9" s="78"/>
      <c r="F9" s="79"/>
    </row>
    <row r="11" ht="15">
      <c r="A11" s="20" t="s">
        <v>105</v>
      </c>
    </row>
    <row r="13" ht="12.75">
      <c r="A13" s="18" t="s">
        <v>23</v>
      </c>
    </row>
    <row r="14" spans="1:7" ht="12.75">
      <c r="A14" s="18" t="s">
        <v>13</v>
      </c>
      <c r="B14" s="21" t="s">
        <v>90</v>
      </c>
      <c r="C14" s="21" t="s">
        <v>91</v>
      </c>
      <c r="D14" s="21" t="s">
        <v>92</v>
      </c>
      <c r="E14" s="22" t="s">
        <v>24</v>
      </c>
      <c r="F14" s="22" t="s">
        <v>42</v>
      </c>
      <c r="G14" s="23" t="s">
        <v>14</v>
      </c>
    </row>
    <row r="15" spans="1:7" ht="12.75">
      <c r="A15" s="18" t="s">
        <v>85</v>
      </c>
      <c r="B15" s="10"/>
      <c r="C15" s="9">
        <v>0</v>
      </c>
      <c r="D15" s="10"/>
      <c r="E15" s="10">
        <v>0</v>
      </c>
      <c r="F15" s="10"/>
      <c r="G15" s="24">
        <f>SUM(B15:F15)</f>
        <v>0</v>
      </c>
    </row>
    <row r="16" spans="1:18" ht="12.75">
      <c r="A16" s="18" t="s">
        <v>87</v>
      </c>
      <c r="B16" s="15">
        <v>1</v>
      </c>
      <c r="C16" s="9">
        <v>2</v>
      </c>
      <c r="D16" s="15">
        <v>5</v>
      </c>
      <c r="E16" s="15">
        <v>1</v>
      </c>
      <c r="F16" s="15"/>
      <c r="G16" s="24">
        <f>SUM(B16:F16)</f>
        <v>9</v>
      </c>
      <c r="O16" s="19" t="s">
        <v>9</v>
      </c>
      <c r="P16" s="19" t="s">
        <v>10</v>
      </c>
      <c r="Q16" s="19" t="s">
        <v>11</v>
      </c>
      <c r="R16" s="19" t="s">
        <v>12</v>
      </c>
    </row>
    <row r="17" spans="1:18" ht="12.75">
      <c r="A17" s="18" t="s">
        <v>88</v>
      </c>
      <c r="B17" s="9">
        <v>1</v>
      </c>
      <c r="C17" s="9">
        <v>10</v>
      </c>
      <c r="D17" s="9">
        <v>5</v>
      </c>
      <c r="E17" s="9">
        <v>1</v>
      </c>
      <c r="F17" s="9">
        <v>4</v>
      </c>
      <c r="G17" s="24">
        <f>SUM(B17:F17)</f>
        <v>21</v>
      </c>
      <c r="O17" s="19" t="b">
        <v>1</v>
      </c>
      <c r="P17" s="19" t="b">
        <v>0</v>
      </c>
      <c r="Q17" s="19" t="b">
        <v>1</v>
      </c>
      <c r="R17" s="19" t="b">
        <v>0</v>
      </c>
    </row>
    <row r="18" spans="1:18" ht="12.75">
      <c r="A18" s="18" t="s">
        <v>89</v>
      </c>
      <c r="B18" s="16">
        <v>1</v>
      </c>
      <c r="C18" s="9">
        <v>10</v>
      </c>
      <c r="D18" s="16">
        <v>5</v>
      </c>
      <c r="E18" s="16">
        <v>1</v>
      </c>
      <c r="F18" s="16">
        <v>4</v>
      </c>
      <c r="G18" s="24">
        <f>SUM(B18:F18)</f>
        <v>21</v>
      </c>
      <c r="O18" s="19">
        <f>IF(O17=TRUE,0,1)</f>
        <v>0</v>
      </c>
      <c r="P18" s="19">
        <f>IF(P17=TRUE,0,1)</f>
        <v>1</v>
      </c>
      <c r="Q18" s="19">
        <f>IF(Q17=TRUE,0,1)</f>
        <v>0</v>
      </c>
      <c r="R18" s="19">
        <f>IF(R17=TRUE,0,1)</f>
        <v>1</v>
      </c>
    </row>
    <row r="19" spans="1:7" ht="12.75">
      <c r="A19" s="18" t="s">
        <v>83</v>
      </c>
      <c r="B19" s="9"/>
      <c r="C19" s="9">
        <v>3</v>
      </c>
      <c r="D19" s="9">
        <v>1</v>
      </c>
      <c r="E19" s="9">
        <v>1</v>
      </c>
      <c r="F19" s="9"/>
      <c r="G19" s="24">
        <f>SUM(B19:F19)</f>
        <v>5</v>
      </c>
    </row>
    <row r="20" spans="1:7" ht="12.75">
      <c r="A20" s="18" t="s">
        <v>94</v>
      </c>
      <c r="B20" s="25">
        <f aca="true" t="shared" si="0" ref="B20:G20">SUM(B15:B19)</f>
        <v>3</v>
      </c>
      <c r="C20" s="25">
        <f t="shared" si="0"/>
        <v>25</v>
      </c>
      <c r="D20" s="25">
        <f t="shared" si="0"/>
        <v>16</v>
      </c>
      <c r="E20" s="25">
        <f t="shared" si="0"/>
        <v>4</v>
      </c>
      <c r="F20" s="25">
        <f t="shared" si="0"/>
        <v>8</v>
      </c>
      <c r="G20" s="25">
        <f t="shared" si="0"/>
        <v>56</v>
      </c>
    </row>
    <row r="21" spans="14:19" ht="12.75">
      <c r="N21" s="19" t="s">
        <v>85</v>
      </c>
      <c r="O21" s="19">
        <f>$O$18*Assumptions!B39</f>
        <v>0</v>
      </c>
      <c r="P21" s="19">
        <f>$P$18*Assumptions!C39</f>
        <v>11</v>
      </c>
      <c r="Q21" s="19">
        <f>$Q$18*Assumptions!D39</f>
        <v>0</v>
      </c>
      <c r="R21" s="19">
        <f>$R$18*Assumptions!E39</f>
        <v>12</v>
      </c>
      <c r="S21" s="19">
        <f>SUM(O21:R21)</f>
        <v>23</v>
      </c>
    </row>
    <row r="22" spans="1:19" ht="12.75">
      <c r="A22" s="18" t="s">
        <v>8</v>
      </c>
      <c r="N22" s="19" t="s">
        <v>87</v>
      </c>
      <c r="O22" s="19">
        <f>$O$18*Assumptions!B40</f>
        <v>0</v>
      </c>
      <c r="P22" s="19">
        <f>$P$18*Assumptions!C40</f>
        <v>14</v>
      </c>
      <c r="Q22" s="19">
        <f>$Q$18*Assumptions!D40</f>
        <v>0</v>
      </c>
      <c r="R22" s="19">
        <f>$R$18*Assumptions!E40</f>
        <v>19</v>
      </c>
      <c r="S22" s="19">
        <f>SUM(O22:R22)</f>
        <v>33</v>
      </c>
    </row>
    <row r="23" spans="14:19" ht="12.75">
      <c r="N23" s="19" t="s">
        <v>88</v>
      </c>
      <c r="O23" s="19">
        <f>$O$18*Assumptions!B41</f>
        <v>0</v>
      </c>
      <c r="P23" s="19">
        <f>$P$18*Assumptions!C41</f>
        <v>19</v>
      </c>
      <c r="Q23" s="19">
        <f>$Q$18*Assumptions!D41</f>
        <v>0</v>
      </c>
      <c r="R23" s="19">
        <f>$R$18*Assumptions!E41</f>
        <v>26</v>
      </c>
      <c r="S23" s="19">
        <f>SUM(O23:R23)</f>
        <v>45</v>
      </c>
    </row>
    <row r="24" spans="14:19" ht="12.75">
      <c r="N24" s="19" t="s">
        <v>89</v>
      </c>
      <c r="O24" s="19">
        <f>$O$18*Assumptions!B42</f>
        <v>0</v>
      </c>
      <c r="P24" s="19">
        <f>$P$18*Assumptions!C42</f>
        <v>23</v>
      </c>
      <c r="Q24" s="19">
        <f>$Q$18*Assumptions!D42</f>
        <v>0</v>
      </c>
      <c r="R24" s="19">
        <f>$R$18*Assumptions!E42</f>
        <v>31</v>
      </c>
      <c r="S24" s="19">
        <f>SUM(O24:R24)</f>
        <v>54</v>
      </c>
    </row>
    <row r="25" spans="1:19" ht="12.75">
      <c r="A25" s="18" t="s">
        <v>35</v>
      </c>
      <c r="D25" s="26">
        <f>(SUMPRODUCT(B15:F19,Assumptions!B32:F36)*12)-(SUMPRODUCT(S21:S25,'Feasibility Analysis'!G15:G19)*12)</f>
        <v>794910</v>
      </c>
      <c r="N25" s="19" t="s">
        <v>83</v>
      </c>
      <c r="O25" s="19">
        <f>$O$18*Assumptions!B43</f>
        <v>0</v>
      </c>
      <c r="P25" s="19">
        <f>$P$18*Assumptions!C43</f>
        <v>30</v>
      </c>
      <c r="Q25" s="19">
        <f>$Q$18*Assumptions!D43</f>
        <v>0</v>
      </c>
      <c r="R25" s="19">
        <f>$R$18*Assumptions!E43</f>
        <v>39</v>
      </c>
      <c r="S25" s="19">
        <f>SUM(O25:R25)</f>
        <v>69</v>
      </c>
    </row>
    <row r="26" spans="1:4" ht="12.75">
      <c r="A26" s="18" t="s">
        <v>34</v>
      </c>
      <c r="D26" s="26">
        <f>D25*(1-Assumptions!B45)</f>
        <v>755164.5</v>
      </c>
    </row>
    <row r="27" spans="1:4" ht="12.75">
      <c r="A27" s="18" t="s">
        <v>26</v>
      </c>
      <c r="D27" s="26">
        <f>G20*((Assumptions!B24*(1.03^Assumptions!B25))+Assumptions!B27)+'Feasibility Analysis'!S35</f>
        <v>428746</v>
      </c>
    </row>
    <row r="28" spans="1:4" ht="13.5" thickBot="1">
      <c r="A28" s="17" t="s">
        <v>5</v>
      </c>
      <c r="B28" s="17"/>
      <c r="C28" s="17"/>
      <c r="D28" s="27">
        <f>D26-D27</f>
        <v>326418.5</v>
      </c>
    </row>
    <row r="29" spans="3:19" ht="13.5" thickTop="1">
      <c r="C29" s="26"/>
      <c r="D29" s="26"/>
      <c r="E29" s="26"/>
      <c r="F29" s="26"/>
      <c r="G29" s="26"/>
      <c r="H29" s="26"/>
      <c r="I29" s="26"/>
      <c r="N29" s="19" t="s">
        <v>15</v>
      </c>
      <c r="O29" s="19">
        <f>IF(O17=TRUE,0,-1)</f>
        <v>0</v>
      </c>
      <c r="P29" s="19">
        <f>IF(P17=TRUE,0,-1)</f>
        <v>-1</v>
      </c>
      <c r="Q29" s="19">
        <f>IF(Q17=TRUE,0,-1)</f>
        <v>0</v>
      </c>
      <c r="R29" s="19">
        <f>IF(R17=TRUE,0,-1)</f>
        <v>-1</v>
      </c>
      <c r="S29" s="28"/>
    </row>
    <row r="30" spans="1:19" ht="15">
      <c r="A30" s="20" t="s">
        <v>106</v>
      </c>
      <c r="C30" s="26"/>
      <c r="D30" s="26" t="s">
        <v>36</v>
      </c>
      <c r="E30" s="26"/>
      <c r="F30" s="26"/>
      <c r="G30" s="26"/>
      <c r="H30" s="26"/>
      <c r="I30" s="26"/>
      <c r="N30" s="19" t="s">
        <v>85</v>
      </c>
      <c r="O30" s="19">
        <f>O$29*Assumptions!B39</f>
        <v>0</v>
      </c>
      <c r="P30" s="19">
        <f>P$29*Assumptions!C39</f>
        <v>-11</v>
      </c>
      <c r="Q30" s="19">
        <f>Q$29*Assumptions!D39</f>
        <v>0</v>
      </c>
      <c r="R30" s="19">
        <f>R$29*Assumptions!E39</f>
        <v>-12</v>
      </c>
      <c r="S30" s="28">
        <f>SUM(O30:R30)*12</f>
        <v>-276</v>
      </c>
    </row>
    <row r="31" spans="4:19" ht="12.75">
      <c r="D31" s="26"/>
      <c r="E31" s="26"/>
      <c r="F31" s="26"/>
      <c r="G31" s="26"/>
      <c r="H31" s="26"/>
      <c r="I31" s="26"/>
      <c r="N31" s="19" t="s">
        <v>87</v>
      </c>
      <c r="O31" s="19">
        <f>O$29*Assumptions!B40</f>
        <v>0</v>
      </c>
      <c r="P31" s="19">
        <f>P$29*Assumptions!C40</f>
        <v>-14</v>
      </c>
      <c r="Q31" s="19">
        <f>Q$29*Assumptions!D40</f>
        <v>0</v>
      </c>
      <c r="R31" s="19">
        <f>R$29*Assumptions!E40</f>
        <v>-19</v>
      </c>
      <c r="S31" s="28">
        <f>SUM(O31:R31)*12</f>
        <v>-396</v>
      </c>
    </row>
    <row r="32" spans="1:19" ht="12.75">
      <c r="A32" s="18" t="s">
        <v>100</v>
      </c>
      <c r="D32" s="26">
        <f>Assumptions!B8</f>
        <v>4200000</v>
      </c>
      <c r="E32" s="26"/>
      <c r="F32" s="26"/>
      <c r="G32" s="26"/>
      <c r="H32" s="26"/>
      <c r="I32" s="26"/>
      <c r="N32" s="19" t="s">
        <v>88</v>
      </c>
      <c r="O32" s="19">
        <f>O$29*Assumptions!B41</f>
        <v>0</v>
      </c>
      <c r="P32" s="19">
        <f>P$29*Assumptions!C41</f>
        <v>-19</v>
      </c>
      <c r="Q32" s="19">
        <f>Q$29*Assumptions!D41</f>
        <v>0</v>
      </c>
      <c r="R32" s="19">
        <f>R$29*Assumptions!E41</f>
        <v>-26</v>
      </c>
      <c r="S32" s="28">
        <f>SUM(O32:R32)*12</f>
        <v>-540</v>
      </c>
    </row>
    <row r="33" spans="1:19" ht="12.75">
      <c r="A33" s="18" t="s">
        <v>101</v>
      </c>
      <c r="D33" s="26"/>
      <c r="E33" s="26"/>
      <c r="F33" s="26"/>
      <c r="G33" s="26"/>
      <c r="H33" s="26"/>
      <c r="I33" s="26"/>
      <c r="N33" s="19" t="s">
        <v>89</v>
      </c>
      <c r="O33" s="19">
        <f>O$29*Assumptions!B42</f>
        <v>0</v>
      </c>
      <c r="P33" s="19">
        <f>P$29*Assumptions!C42</f>
        <v>-23</v>
      </c>
      <c r="Q33" s="19">
        <f>Q$29*Assumptions!D42</f>
        <v>0</v>
      </c>
      <c r="R33" s="19">
        <f>R$29*Assumptions!E42</f>
        <v>-31</v>
      </c>
      <c r="S33" s="28">
        <f>SUM(O33:R33)*12</f>
        <v>-648</v>
      </c>
    </row>
    <row r="34" spans="1:19" ht="12.75">
      <c r="A34" s="18" t="s">
        <v>103</v>
      </c>
      <c r="D34" s="26">
        <f>(((Assumptions!B15*Assumptions!B16)+(Assumptions!B17*Assumptions!B18))*Assumptions!Q15)+(Assumptions!Q16*Assumptions!F15*G20)</f>
        <v>3640000</v>
      </c>
      <c r="E34" s="26"/>
      <c r="F34" s="26"/>
      <c r="G34" s="26"/>
      <c r="H34" s="26"/>
      <c r="I34" s="26"/>
      <c r="N34" s="19" t="s">
        <v>83</v>
      </c>
      <c r="O34" s="19">
        <f>O$29*Assumptions!B43</f>
        <v>0</v>
      </c>
      <c r="P34" s="19">
        <f>P$29*Assumptions!C43</f>
        <v>-30</v>
      </c>
      <c r="Q34" s="19">
        <f>Q$29*Assumptions!D43</f>
        <v>0</v>
      </c>
      <c r="R34" s="19">
        <f>R$29*Assumptions!E43</f>
        <v>-39</v>
      </c>
      <c r="S34" s="28">
        <f>SUM(S31:S33)</f>
        <v>-1584</v>
      </c>
    </row>
    <row r="35" spans="1:19" ht="12.75">
      <c r="A35" s="18" t="s">
        <v>1</v>
      </c>
      <c r="D35" s="26">
        <f>D34*0.15</f>
        <v>546000</v>
      </c>
      <c r="E35" s="26"/>
      <c r="F35" s="26"/>
      <c r="G35" s="26"/>
      <c r="H35" s="26"/>
      <c r="I35" s="26"/>
      <c r="N35" s="19" t="s">
        <v>110</v>
      </c>
      <c r="O35" s="19" t="s">
        <v>44</v>
      </c>
      <c r="Q35" s="19" t="s">
        <v>93</v>
      </c>
      <c r="S35" s="28">
        <f>SUMPRODUCT(S30:S34,G15:G19)</f>
        <v>-36432</v>
      </c>
    </row>
    <row r="36" spans="1:9" ht="12.75">
      <c r="A36" s="18" t="s">
        <v>102</v>
      </c>
      <c r="C36" s="29"/>
      <c r="D36" s="26"/>
      <c r="E36" s="26"/>
      <c r="F36" s="26"/>
      <c r="G36" s="26"/>
      <c r="H36" s="26"/>
      <c r="I36" s="26"/>
    </row>
    <row r="37" spans="1:9" ht="12.75">
      <c r="A37" s="18" t="s">
        <v>95</v>
      </c>
      <c r="C37" s="30">
        <v>0.2</v>
      </c>
      <c r="D37" s="26">
        <f>C37*(D34+D35)</f>
        <v>837200</v>
      </c>
      <c r="E37" s="26"/>
      <c r="F37" s="26"/>
      <c r="G37" s="26"/>
      <c r="H37" s="26"/>
      <c r="I37" s="26"/>
    </row>
    <row r="38" spans="1:9" ht="12.75">
      <c r="A38" s="18" t="s">
        <v>107</v>
      </c>
      <c r="C38" s="29"/>
      <c r="D38" s="26"/>
      <c r="E38" s="26"/>
      <c r="F38" s="26"/>
      <c r="G38" s="26"/>
      <c r="H38" s="26"/>
      <c r="I38" s="26"/>
    </row>
    <row r="39" spans="1:17" ht="12.75">
      <c r="A39" s="18" t="s">
        <v>16</v>
      </c>
      <c r="C39" s="29"/>
      <c r="D39" s="26">
        <f>0.5*(debtservice+annualexpenses)</f>
        <v>356294.08695652126</v>
      </c>
      <c r="E39" s="26" t="s">
        <v>96</v>
      </c>
      <c r="F39" s="26"/>
      <c r="G39" s="26"/>
      <c r="H39" s="26"/>
      <c r="I39" s="26"/>
      <c r="N39" s="19" t="s">
        <v>55</v>
      </c>
      <c r="O39" s="19" t="s">
        <v>56</v>
      </c>
      <c r="Q39" s="31">
        <f>SUM(D34:D39)</f>
        <v>5379494.0869565215</v>
      </c>
    </row>
    <row r="40" spans="1:9" ht="12.75">
      <c r="A40" s="18" t="s">
        <v>104</v>
      </c>
      <c r="C40" s="29"/>
      <c r="D40" s="26">
        <f>SUMPRODUCT(N41:N44,O41:O44)</f>
        <v>922949.4086956521</v>
      </c>
      <c r="E40" s="26" t="s">
        <v>112</v>
      </c>
      <c r="F40" s="26"/>
      <c r="G40" s="26"/>
      <c r="H40" s="26"/>
      <c r="I40" s="26"/>
    </row>
    <row r="41" spans="4:15" ht="12.75">
      <c r="D41" s="26"/>
      <c r="E41" s="26"/>
      <c r="F41" s="26"/>
      <c r="G41" s="26"/>
      <c r="H41" s="26"/>
      <c r="I41" s="26"/>
      <c r="N41" s="19">
        <v>0.05</v>
      </c>
      <c r="O41" s="31">
        <f>D32</f>
        <v>4200000</v>
      </c>
    </row>
    <row r="42" spans="1:15" ht="13.5" thickBot="1">
      <c r="A42" s="17" t="s">
        <v>4</v>
      </c>
      <c r="B42" s="17"/>
      <c r="C42" s="17"/>
      <c r="D42" s="27">
        <f>SUM(D32:D40)</f>
        <v>10502443.495652173</v>
      </c>
      <c r="E42" s="32">
        <f>D42/units</f>
        <v>187543.63385093166</v>
      </c>
      <c r="F42" s="32" t="s">
        <v>99</v>
      </c>
      <c r="G42" s="26"/>
      <c r="H42" s="26"/>
      <c r="I42" s="26"/>
      <c r="N42" s="19">
        <v>0.15</v>
      </c>
      <c r="O42" s="31">
        <f>MIN(2000000,Q39)</f>
        <v>2000000</v>
      </c>
    </row>
    <row r="43" spans="1:15" ht="13.5" thickTop="1">
      <c r="A43" s="18" t="s">
        <v>36</v>
      </c>
      <c r="D43" s="26"/>
      <c r="E43" s="26"/>
      <c r="F43" s="26"/>
      <c r="G43" s="26"/>
      <c r="H43" s="26"/>
      <c r="I43" s="26"/>
      <c r="N43" s="19">
        <v>0.125</v>
      </c>
      <c r="O43" s="31">
        <f>MAX(0,MIN(3000000,Q39-O42))</f>
        <v>3000000</v>
      </c>
    </row>
    <row r="44" spans="4:15" ht="12.75">
      <c r="D44" s="26"/>
      <c r="E44" s="26"/>
      <c r="F44" s="26"/>
      <c r="G44" s="26"/>
      <c r="H44" s="26"/>
      <c r="I44" s="26"/>
      <c r="N44" s="19">
        <v>0.1</v>
      </c>
      <c r="O44" s="31">
        <f>MAX(0,Q39-5000000)</f>
        <v>379494.0869565215</v>
      </c>
    </row>
    <row r="45" spans="1:9" ht="15">
      <c r="A45" s="20" t="s">
        <v>2</v>
      </c>
      <c r="D45" s="26"/>
      <c r="E45" s="26"/>
      <c r="F45" s="26"/>
      <c r="G45" s="26"/>
      <c r="H45" s="26"/>
      <c r="I45" s="26"/>
    </row>
    <row r="46" spans="4:9" ht="12.75">
      <c r="D46" s="26"/>
      <c r="E46" s="33" t="s">
        <v>97</v>
      </c>
      <c r="F46" s="33" t="s">
        <v>38</v>
      </c>
      <c r="G46" s="33" t="s">
        <v>39</v>
      </c>
      <c r="H46" s="26"/>
      <c r="I46" s="26"/>
    </row>
    <row r="47" spans="1:13" ht="12.75">
      <c r="A47" s="18" t="s">
        <v>3</v>
      </c>
      <c r="D47" s="28">
        <f>-PV(F47/12,G47*12,((D28/E47)/12))</f>
        <v>3742241.9128305824</v>
      </c>
      <c r="E47" s="38">
        <v>1.15</v>
      </c>
      <c r="F47" s="39">
        <v>0.065</v>
      </c>
      <c r="G47" s="9">
        <v>30</v>
      </c>
      <c r="I47" s="26"/>
      <c r="M47" s="28">
        <f>PMT(F47/12,G47*12,D47)*-12</f>
        <v>283842.17391304247</v>
      </c>
    </row>
    <row r="48" spans="1:9" ht="12.75">
      <c r="A48" s="18" t="s">
        <v>110</v>
      </c>
      <c r="D48" s="28">
        <f>MIN(P67:P68)*10*E48*taxcredit</f>
        <v>4860091.720974409</v>
      </c>
      <c r="E48" s="38">
        <v>0.71</v>
      </c>
      <c r="F48" s="26" t="s">
        <v>46</v>
      </c>
      <c r="G48" s="26"/>
      <c r="H48" s="26"/>
      <c r="I48" s="26"/>
    </row>
    <row r="49" spans="1:9" ht="12.75">
      <c r="A49" s="18" t="s">
        <v>57</v>
      </c>
      <c r="D49" s="9">
        <v>500000</v>
      </c>
      <c r="E49" s="26"/>
      <c r="F49" s="26"/>
      <c r="G49" s="26"/>
      <c r="H49" s="26"/>
      <c r="I49" s="26"/>
    </row>
    <row r="50" spans="1:9" ht="12.75">
      <c r="A50" s="18" t="s">
        <v>58</v>
      </c>
      <c r="D50" s="9">
        <v>500000</v>
      </c>
      <c r="E50" s="26"/>
      <c r="F50" s="26"/>
      <c r="G50" s="26"/>
      <c r="H50" s="26"/>
      <c r="I50" s="26"/>
    </row>
    <row r="51" spans="1:14" ht="12.75">
      <c r="A51" s="18" t="s">
        <v>59</v>
      </c>
      <c r="D51" s="9">
        <v>750000</v>
      </c>
      <c r="E51" s="26"/>
      <c r="F51" s="26"/>
      <c r="G51" s="26"/>
      <c r="H51" s="26"/>
      <c r="I51" s="26"/>
      <c r="M51" s="34" t="b">
        <v>1</v>
      </c>
      <c r="N51" s="19" t="s">
        <v>40</v>
      </c>
    </row>
    <row r="52" spans="1:14" ht="12.75">
      <c r="A52" s="18" t="s">
        <v>60</v>
      </c>
      <c r="B52" s="72" t="s">
        <v>63</v>
      </c>
      <c r="C52" s="73"/>
      <c r="D52" s="37">
        <v>300000</v>
      </c>
      <c r="N52" s="19">
        <f>IF(M51=TRUE,1,0)</f>
        <v>1</v>
      </c>
    </row>
    <row r="53" spans="1:4" ht="12.75">
      <c r="A53" s="18" t="s">
        <v>61</v>
      </c>
      <c r="B53" s="72" t="s">
        <v>110</v>
      </c>
      <c r="C53" s="73"/>
      <c r="D53" s="37"/>
    </row>
    <row r="54" spans="1:4" ht="12.75">
      <c r="A54" s="18" t="s">
        <v>62</v>
      </c>
      <c r="B54" s="72" t="s">
        <v>64</v>
      </c>
      <c r="C54" s="73"/>
      <c r="D54" s="37"/>
    </row>
    <row r="55" spans="1:4" ht="12.75">
      <c r="A55" s="18" t="s">
        <v>61</v>
      </c>
      <c r="B55" s="72" t="s">
        <v>64</v>
      </c>
      <c r="C55" s="73"/>
      <c r="D55" s="37"/>
    </row>
    <row r="56" spans="1:4" ht="12.75">
      <c r="A56" s="18" t="s">
        <v>62</v>
      </c>
      <c r="B56" s="72"/>
      <c r="C56" s="73"/>
      <c r="D56" s="37"/>
    </row>
    <row r="57" spans="1:4" ht="12.75">
      <c r="A57" s="18" t="s">
        <v>61</v>
      </c>
      <c r="B57" s="72" t="s">
        <v>64</v>
      </c>
      <c r="C57" s="73"/>
      <c r="D57" s="37"/>
    </row>
    <row r="58" spans="1:4" ht="12.75">
      <c r="A58" s="18" t="s">
        <v>62</v>
      </c>
      <c r="B58" s="72" t="s">
        <v>64</v>
      </c>
      <c r="C58" s="73"/>
      <c r="D58" s="37"/>
    </row>
    <row r="59" spans="1:4" ht="12.75">
      <c r="A59" s="18" t="s">
        <v>61</v>
      </c>
      <c r="B59" s="72" t="s">
        <v>64</v>
      </c>
      <c r="C59" s="73"/>
      <c r="D59" s="37"/>
    </row>
    <row r="60" spans="1:15" ht="13.5" thickBot="1">
      <c r="A60" s="17" t="s">
        <v>6</v>
      </c>
      <c r="B60" s="17"/>
      <c r="C60" s="17"/>
      <c r="D60" s="35">
        <f>SUM(D47:D52)</f>
        <v>10652333.633804992</v>
      </c>
      <c r="N60" s="28">
        <f>200000*0.09</f>
        <v>18000</v>
      </c>
      <c r="O60" s="19" t="s">
        <v>41</v>
      </c>
    </row>
    <row r="61" spans="1:15" ht="13.5" thickTop="1">
      <c r="A61" s="18" t="s">
        <v>7</v>
      </c>
      <c r="D61" s="24">
        <f>D60-D42</f>
        <v>149890.13815281913</v>
      </c>
      <c r="F61" s="74" t="s">
        <v>65</v>
      </c>
      <c r="G61" s="74"/>
      <c r="H61" s="74"/>
      <c r="N61" s="36">
        <f>SUM(B20:E20)/units</f>
        <v>0.8571428571428571</v>
      </c>
      <c r="O61" s="19" t="s">
        <v>45</v>
      </c>
    </row>
    <row r="62" spans="14:19" ht="12.75">
      <c r="N62" s="19" t="s">
        <v>47</v>
      </c>
      <c r="O62" s="19" t="s">
        <v>48</v>
      </c>
      <c r="P62" s="31">
        <f>Q62*D32</f>
        <v>3360000</v>
      </c>
      <c r="Q62" s="36">
        <f>80%*Assumptions!Q16</f>
        <v>0.8</v>
      </c>
      <c r="R62" s="19">
        <v>0.035</v>
      </c>
      <c r="S62" s="19">
        <v>1</v>
      </c>
    </row>
    <row r="63" spans="15:19" ht="12.75">
      <c r="O63" s="19" t="s">
        <v>49</v>
      </c>
      <c r="P63" s="31">
        <f>Q63*SUM(D34:D35)</f>
        <v>4186000</v>
      </c>
      <c r="Q63" s="36">
        <v>1</v>
      </c>
      <c r="R63" s="19">
        <v>0.09</v>
      </c>
      <c r="S63" s="19">
        <f>IF(Assumptions!$O$22=1,1.3,1)</f>
        <v>1.3</v>
      </c>
    </row>
    <row r="64" spans="1:19" ht="12.75">
      <c r="A64" s="75" t="s">
        <v>118</v>
      </c>
      <c r="B64" s="76"/>
      <c r="C64" s="76"/>
      <c r="D64" s="76"/>
      <c r="E64" s="76"/>
      <c r="F64" s="76"/>
      <c r="G64" s="76"/>
      <c r="H64" s="76"/>
      <c r="I64" s="76"/>
      <c r="O64" s="19" t="s">
        <v>50</v>
      </c>
      <c r="P64" s="31">
        <f>Q64*D37</f>
        <v>711620</v>
      </c>
      <c r="Q64" s="36">
        <v>0.85</v>
      </c>
      <c r="R64" s="19">
        <v>0.09</v>
      </c>
      <c r="S64" s="19">
        <f>IF(Assumptions!$O$22=1,1.3,1)</f>
        <v>1.3</v>
      </c>
    </row>
    <row r="65" spans="1:19" ht="12.75">
      <c r="A65" s="76"/>
      <c r="B65" s="76"/>
      <c r="C65" s="76"/>
      <c r="D65" s="76"/>
      <c r="E65" s="76"/>
      <c r="F65" s="76"/>
      <c r="G65" s="76"/>
      <c r="H65" s="76"/>
      <c r="I65" s="76"/>
      <c r="O65" s="19" t="s">
        <v>51</v>
      </c>
      <c r="P65" s="31">
        <f>Q65*D40</f>
        <v>922949.4086956521</v>
      </c>
      <c r="Q65" s="36">
        <v>1</v>
      </c>
      <c r="R65" s="19">
        <v>0.09</v>
      </c>
      <c r="S65" s="19">
        <f>IF(Assumptions!$O$22=1,1.3,1)</f>
        <v>1.3</v>
      </c>
    </row>
    <row r="66" spans="1:17" ht="12.75">
      <c r="A66" s="76"/>
      <c r="B66" s="76"/>
      <c r="C66" s="76"/>
      <c r="D66" s="76"/>
      <c r="E66" s="76"/>
      <c r="F66" s="76"/>
      <c r="G66" s="76"/>
      <c r="H66" s="76"/>
      <c r="I66" s="76"/>
      <c r="Q66" s="36"/>
    </row>
    <row r="67" spans="15:17" ht="12.75">
      <c r="O67" s="19" t="s">
        <v>52</v>
      </c>
      <c r="P67" s="28">
        <f>SUMPRODUCT(P62:P65,R62:R65,S62:S65)*affordablepercent</f>
        <v>684519.9607006211</v>
      </c>
      <c r="Q67" s="36" t="s">
        <v>53</v>
      </c>
    </row>
    <row r="68" spans="16:17" ht="12.75">
      <c r="P68" s="31">
        <f>N61*units*N60</f>
        <v>864000</v>
      </c>
      <c r="Q68" s="36" t="s">
        <v>54</v>
      </c>
    </row>
    <row r="69" ht="12.75">
      <c r="Q69" s="36"/>
    </row>
    <row r="70" ht="12.75">
      <c r="P70" s="19" t="s">
        <v>36</v>
      </c>
    </row>
  </sheetData>
  <sheetProtection/>
  <mergeCells count="11">
    <mergeCell ref="C9:F9"/>
    <mergeCell ref="B52:C52"/>
    <mergeCell ref="B53:C53"/>
    <mergeCell ref="B54:C54"/>
    <mergeCell ref="B57:C57"/>
    <mergeCell ref="B58:C58"/>
    <mergeCell ref="B59:C59"/>
    <mergeCell ref="F61:H61"/>
    <mergeCell ref="B55:C55"/>
    <mergeCell ref="B56:C56"/>
    <mergeCell ref="A64:I66"/>
  </mergeCells>
  <printOptions/>
  <pageMargins left="0.75" right="0.75" top="1" bottom="1" header="0.5" footer="0.5"/>
  <pageSetup blackAndWhite="1" fitToHeight="1" fitToWidth="1" orientation="portrait" scale="7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VIVA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Laurie Gould</dc:creator>
  <cp:keywords/>
  <dc:description/>
  <cp:lastModifiedBy>Carsten Snow</cp:lastModifiedBy>
  <cp:lastPrinted>2012-05-14T15:46:30Z</cp:lastPrinted>
  <dcterms:created xsi:type="dcterms:W3CDTF">2009-05-15T17:14:15Z</dcterms:created>
  <dcterms:modified xsi:type="dcterms:W3CDTF">2017-08-25T18:33:23Z</dcterms:modified>
  <cp:category/>
  <cp:version/>
  <cp:contentType/>
  <cp:contentStatus/>
</cp:coreProperties>
</file>